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ING\Desktop\"/>
    </mc:Choice>
  </mc:AlternateContent>
  <xr:revisionPtr revIDLastSave="0" documentId="13_ncr:1_{8F735E1C-90C2-4C6C-BA00-15204986847A}" xr6:coauthVersionLast="45" xr6:coauthVersionMax="45" xr10:uidLastSave="{00000000-0000-0000-0000-000000000000}"/>
  <bookViews>
    <workbookView xWindow="-120" yWindow="-120" windowWidth="38640" windowHeight="21240" xr2:uid="{5B03E9F8-E9EC-4195-964E-70414FCB5A4D}"/>
  </bookViews>
  <sheets>
    <sheet name="Сдвиг щита НО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1" l="1"/>
  <c r="I43" i="2"/>
  <c r="I42" i="2"/>
  <c r="I41" i="2"/>
  <c r="E40" i="2"/>
  <c r="E41" i="2" s="1"/>
  <c r="Z23" i="2"/>
  <c r="Z24" i="2" s="1"/>
  <c r="Z22" i="2"/>
  <c r="Z21" i="2"/>
  <c r="Z20" i="2"/>
  <c r="Z19" i="2"/>
  <c r="Z18" i="2"/>
  <c r="Z17" i="2"/>
  <c r="E42" i="2" l="1"/>
  <c r="L41" i="2"/>
  <c r="I45" i="2" s="1"/>
  <c r="I47" i="2" s="1"/>
  <c r="I45" i="1" s="1"/>
  <c r="L42" i="2"/>
  <c r="L43" i="2"/>
  <c r="Z26" i="2"/>
  <c r="I43" i="1" s="1"/>
  <c r="K17" i="2"/>
  <c r="H35" i="2"/>
  <c r="G35" i="2"/>
  <c r="F35" i="2"/>
  <c r="E35" i="2"/>
  <c r="D35" i="2"/>
  <c r="C35" i="2"/>
  <c r="I49" i="2" l="1"/>
  <c r="I50" i="2"/>
  <c r="I51" i="1"/>
  <c r="I52" i="2" l="1"/>
  <c r="I49" i="1" s="1"/>
</calcChain>
</file>

<file path=xl/sharedStrings.xml><?xml version="1.0" encoding="utf-8"?>
<sst xmlns="http://schemas.openxmlformats.org/spreadsheetml/2006/main" count="95" uniqueCount="81">
  <si>
    <t>Н =</t>
  </si>
  <si>
    <t>м</t>
  </si>
  <si>
    <t>L =</t>
  </si>
  <si>
    <t>ϕ =</t>
  </si>
  <si>
    <t>⁰</t>
  </si>
  <si>
    <t>с =</t>
  </si>
  <si>
    <t>кПа</t>
  </si>
  <si>
    <t>Пески и супеси крупные, галька и т.п.</t>
  </si>
  <si>
    <t>Пески и супеси мелкие</t>
  </si>
  <si>
    <t>Пески и супеси пылеватые</t>
  </si>
  <si>
    <t>Пески и супеси рыхлые</t>
  </si>
  <si>
    <t>Указания:</t>
  </si>
  <si>
    <r>
      <rPr>
        <b/>
        <sz val="12"/>
        <color theme="1"/>
        <rFont val="Calibri"/>
        <family val="2"/>
        <charset val="204"/>
      </rPr>
      <t>γ</t>
    </r>
    <r>
      <rPr>
        <b/>
        <sz val="12"/>
        <color theme="1"/>
        <rFont val="Calibri"/>
        <family val="2"/>
        <charset val="204"/>
        <scheme val="minor"/>
      </rPr>
      <t xml:space="preserve"> =</t>
    </r>
  </si>
  <si>
    <r>
      <t>т/м</t>
    </r>
    <r>
      <rPr>
        <sz val="11"/>
        <color theme="1"/>
        <rFont val="Calibri"/>
        <family val="2"/>
        <charset val="204"/>
      </rPr>
      <t>³</t>
    </r>
  </si>
  <si>
    <t>список М</t>
  </si>
  <si>
    <t>R =</t>
  </si>
  <si>
    <t>Исходные данные</t>
  </si>
  <si>
    <t>Результаты</t>
  </si>
  <si>
    <t xml:space="preserve">Разработал: Бобоедов Т. </t>
  </si>
  <si>
    <t>i-cad.ru</t>
  </si>
  <si>
    <t>v. 1.0</t>
  </si>
  <si>
    <t>Соотношение сторон щита</t>
  </si>
  <si>
    <t>Сумм альфа</t>
  </si>
  <si>
    <t>Определение горизонтального сдвига щита неподвижной опоры при бесканальной проклаке</t>
  </si>
  <si>
    <t>Плотность грунта</t>
  </si>
  <si>
    <t>Расстояние от пов-ти земли до осей трубопроводов</t>
  </si>
  <si>
    <t>B =</t>
  </si>
  <si>
    <t>Высота щита неподвижной опоры</t>
  </si>
  <si>
    <t>Ширина щита неподвижной опоры</t>
  </si>
  <si>
    <r>
      <rPr>
        <b/>
        <sz val="12"/>
        <color theme="1"/>
        <rFont val="Calibri"/>
        <family val="2"/>
        <charset val="204"/>
      </rPr>
      <t>Р</t>
    </r>
    <r>
      <rPr>
        <b/>
        <sz val="12"/>
        <color theme="1"/>
        <rFont val="Calibri"/>
        <family val="2"/>
        <charset val="204"/>
        <scheme val="minor"/>
      </rPr>
      <t xml:space="preserve"> =</t>
    </r>
  </si>
  <si>
    <t>т</t>
  </si>
  <si>
    <t>Суммарное горизонтальное усилие на щит от трубопроводов</t>
  </si>
  <si>
    <r>
      <t>Глины и суглинки с I</t>
    </r>
    <r>
      <rPr>
        <sz val="9"/>
        <color theme="1"/>
        <rFont val="Calibri"/>
        <family val="2"/>
        <charset val="204"/>
        <scheme val="minor"/>
      </rPr>
      <t>L</t>
    </r>
    <r>
      <rPr>
        <sz val="11"/>
        <color theme="1"/>
        <rFont val="Calibri"/>
        <family val="2"/>
        <charset val="204"/>
        <scheme val="minor"/>
      </rPr>
      <t xml:space="preserve"> ≤ 0,25</t>
    </r>
  </si>
  <si>
    <r>
      <t>Глины и суглинки с 0,25 &lt; I</t>
    </r>
    <r>
      <rPr>
        <sz val="9"/>
        <color theme="1"/>
        <rFont val="Calibri"/>
        <family val="2"/>
        <charset val="204"/>
        <scheme val="minor"/>
      </rPr>
      <t>L</t>
    </r>
    <r>
      <rPr>
        <sz val="11"/>
        <color theme="1"/>
        <rFont val="Calibri"/>
        <family val="2"/>
        <charset val="204"/>
        <scheme val="minor"/>
      </rPr>
      <t xml:space="preserve"> ≤ 0,5</t>
    </r>
  </si>
  <si>
    <r>
      <t>Глины и суглинки с I</t>
    </r>
    <r>
      <rPr>
        <sz val="9"/>
        <color theme="1"/>
        <rFont val="Calibri"/>
        <family val="2"/>
        <charset val="204"/>
        <scheme val="minor"/>
      </rPr>
      <t>L</t>
    </r>
    <r>
      <rPr>
        <sz val="11"/>
        <color theme="1"/>
        <rFont val="Calibri"/>
        <family val="2"/>
        <charset val="204"/>
        <scheme val="minor"/>
      </rPr>
      <t xml:space="preserve"> &gt; 0,5</t>
    </r>
  </si>
  <si>
    <t>Yc1</t>
  </si>
  <si>
    <t>Yc2</t>
  </si>
  <si>
    <t>Способ определения физ.-мех. характеристик грунта</t>
  </si>
  <si>
    <t>Данные приняты по таблицам СП 22</t>
  </si>
  <si>
    <t>Данные взяты из лабораторных испытаний</t>
  </si>
  <si>
    <t>Удельное сцепление грунта</t>
  </si>
  <si>
    <t>Угол внутреннего трения грунта</t>
  </si>
  <si>
    <t>Тип грунта</t>
  </si>
  <si>
    <t>Расчетное сопротивление грунта по поверхности щита</t>
  </si>
  <si>
    <t>Гамма_с1</t>
  </si>
  <si>
    <t>Гамма_с2</t>
  </si>
  <si>
    <t>к</t>
  </si>
  <si>
    <t>М_гам</t>
  </si>
  <si>
    <t>М_ку</t>
  </si>
  <si>
    <t>М-с</t>
  </si>
  <si>
    <t>b=</t>
  </si>
  <si>
    <t>R</t>
  </si>
  <si>
    <t>1. Характеристики грунтов следует принимать при доверительной вероятности 0,85
2. Расчет не учитывает неравномерность распределения коэффициентов постели и расчетного сопротивления грунта по высоте щита
3. Предполагается, что усилие к щиту приложено без эксцентриситета</t>
  </si>
  <si>
    <t>kz</t>
  </si>
  <si>
    <t>Среднее давление на поверхности щита</t>
  </si>
  <si>
    <t xml:space="preserve">p = </t>
  </si>
  <si>
    <t>Модуль деформации грунта</t>
  </si>
  <si>
    <t xml:space="preserve">E = </t>
  </si>
  <si>
    <t>МПа</t>
  </si>
  <si>
    <t>соотн сторон</t>
  </si>
  <si>
    <t>Сум альфа</t>
  </si>
  <si>
    <t>S</t>
  </si>
  <si>
    <t>Если р &lt; R</t>
  </si>
  <si>
    <t>Если р &gt; R</t>
  </si>
  <si>
    <t>Ny</t>
  </si>
  <si>
    <t>Nq</t>
  </si>
  <si>
    <t>Nc</t>
  </si>
  <si>
    <t>ey</t>
  </si>
  <si>
    <t>eq</t>
  </si>
  <si>
    <t>ec</t>
  </si>
  <si>
    <t>Nu</t>
  </si>
  <si>
    <t>кН</t>
  </si>
  <si>
    <t>pu</t>
  </si>
  <si>
    <t>Предельное сопротивление грунта</t>
  </si>
  <si>
    <r>
      <t>p</t>
    </r>
    <r>
      <rPr>
        <b/>
        <sz val="10"/>
        <color theme="1"/>
        <rFont val="Calibri"/>
        <family val="2"/>
        <charset val="204"/>
        <scheme val="minor"/>
      </rPr>
      <t>u</t>
    </r>
    <r>
      <rPr>
        <b/>
        <sz val="12"/>
        <color theme="1"/>
        <rFont val="Calibri"/>
        <family val="2"/>
        <charset val="204"/>
        <scheme val="minor"/>
      </rPr>
      <t xml:space="preserve"> = </t>
    </r>
  </si>
  <si>
    <t>Сдвиг щита</t>
  </si>
  <si>
    <t>см</t>
  </si>
  <si>
    <t xml:space="preserve">ẟ = </t>
  </si>
  <si>
    <t>SR</t>
  </si>
  <si>
    <t>коэф к SR</t>
  </si>
  <si>
    <t>Глины и суглинки с IL ≤ 0,25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</si>
</sst>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rgb="FFFF0000"/>
      <name val="Calibri Light"/>
      <family val="2"/>
      <charset val="204"/>
      <scheme val="major"/>
    </font>
    <font>
      <sz val="12"/>
      <color rgb="FF444444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11" applyBorder="0">
      <alignment horizontal="center" vertical="center"/>
    </xf>
  </cellStyleXfs>
  <cellXfs count="61">
    <xf numFmtId="0" fontId="0" fillId="0" borderId="0" xfId="0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>
      <alignment vertical="center"/>
    </xf>
    <xf numFmtId="0" fontId="0" fillId="2" borderId="6" xfId="0" applyFill="1" applyBorder="1" applyAlignment="1"/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2" borderId="0" xfId="1" applyFill="1" applyAlignment="1">
      <alignment vertical="center"/>
    </xf>
    <xf numFmtId="0" fontId="11" fillId="5" borderId="8" xfId="0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2" fillId="5" borderId="8" xfId="1" applyFill="1" applyBorder="1" applyAlignment="1">
      <alignment vertical="center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right" vertical="center"/>
    </xf>
    <xf numFmtId="0" fontId="8" fillId="2" borderId="0" xfId="0" applyFont="1" applyFill="1" applyAlignment="1">
      <alignment vertical="top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3" fillId="2" borderId="0" xfId="0" applyFont="1" applyFill="1" applyBorder="1" applyAlignment="1">
      <alignment vertical="top"/>
    </xf>
    <xf numFmtId="0" fontId="14" fillId="2" borderId="0" xfId="0" applyFont="1" applyFill="1" applyAlignment="1">
      <alignment horizontal="left" vertical="top"/>
    </xf>
    <xf numFmtId="0" fontId="15" fillId="7" borderId="12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9" xfId="0" applyFill="1" applyBorder="1"/>
    <xf numFmtId="0" fontId="12" fillId="4" borderId="0" xfId="0" applyFont="1" applyFill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5" fillId="6" borderId="10" xfId="2" applyFill="1" applyBorder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center" vertical="center" wrapText="1"/>
    </xf>
    <xf numFmtId="0" fontId="0" fillId="7" borderId="0" xfId="0" applyFill="1" applyBorder="1"/>
    <xf numFmtId="1" fontId="5" fillId="1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0" fillId="2" borderId="0" xfId="0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0" fillId="9" borderId="11" xfId="0" applyFill="1" applyBorder="1" applyAlignment="1" applyProtection="1">
      <alignment horizontal="left"/>
      <protection locked="0"/>
    </xf>
    <xf numFmtId="0" fontId="0" fillId="9" borderId="13" xfId="0" applyFill="1" applyBorder="1" applyAlignment="1" applyProtection="1">
      <alignment horizontal="left"/>
      <protection locked="0"/>
    </xf>
    <xf numFmtId="0" fontId="0" fillId="9" borderId="14" xfId="0" applyFill="1" applyBorder="1" applyAlignment="1" applyProtection="1">
      <alignment horizontal="left"/>
      <protection locked="0"/>
    </xf>
    <xf numFmtId="0" fontId="0" fillId="9" borderId="11" xfId="0" applyFill="1" applyBorder="1" applyAlignment="1" applyProtection="1">
      <alignment horizontal="left" vertical="center"/>
      <protection locked="0"/>
    </xf>
    <xf numFmtId="0" fontId="0" fillId="9" borderId="13" xfId="0" applyFill="1" applyBorder="1" applyAlignment="1" applyProtection="1">
      <alignment horizontal="left" vertical="center"/>
      <protection locked="0"/>
    </xf>
    <xf numFmtId="0" fontId="0" fillId="9" borderId="14" xfId="0" applyFill="1" applyBorder="1" applyAlignment="1" applyProtection="1">
      <alignment horizontal="left" vertical="center"/>
      <protection locked="0"/>
    </xf>
  </cellXfs>
  <cellStyles count="3">
    <cellStyle name="Гиперссылка" xfId="1" builtinId="8"/>
    <cellStyle name="Обычный" xfId="0" builtinId="0"/>
    <cellStyle name="Оглавление блока" xfId="2" xr:uid="{0D185A06-2F98-4949-86E1-1625012C0068}"/>
  </cellStyles>
  <dxfs count="1">
    <dxf>
      <font>
        <color rgb="FFFF5353"/>
      </font>
      <fill>
        <patternFill>
          <bgColor rgb="FFFF5353"/>
        </patternFill>
      </fill>
    </dxf>
  </dxfs>
  <tableStyles count="0" defaultTableStyle="TableStyleMedium2" defaultPivotStyle="PivotStyleLight16"/>
  <colors>
    <mruColors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1008552690808109"/>
                  <c:y val="0.230860395725281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xVal>
            <c:numRef>
              <c:f>Лист2!$C$2:$H$2</c:f>
              <c:numCache>
                <c:formatCode>General</c:formatCode>
                <c:ptCount val="6"/>
                <c:pt idx="0">
                  <c:v>1</c:v>
                </c:pt>
                <c:pt idx="1">
                  <c:v>1.4</c:v>
                </c:pt>
                <c:pt idx="2">
                  <c:v>1.8</c:v>
                </c:pt>
                <c:pt idx="3">
                  <c:v>2.4</c:v>
                </c:pt>
                <c:pt idx="4">
                  <c:v>3.2</c:v>
                </c:pt>
                <c:pt idx="5">
                  <c:v>5</c:v>
                </c:pt>
              </c:numCache>
            </c:numRef>
          </c:xVal>
          <c:yVal>
            <c:numRef>
              <c:f>Лист2!$C$35:$H$35</c:f>
              <c:numCache>
                <c:formatCode>General</c:formatCode>
                <c:ptCount val="6"/>
                <c:pt idx="0">
                  <c:v>5.1920000000000002</c:v>
                </c:pt>
                <c:pt idx="1">
                  <c:v>5.7199999999999989</c:v>
                </c:pt>
                <c:pt idx="2">
                  <c:v>6.5389999999999988</c:v>
                </c:pt>
                <c:pt idx="3">
                  <c:v>7.1380000000000008</c:v>
                </c:pt>
                <c:pt idx="4">
                  <c:v>7.791999999999998</c:v>
                </c:pt>
                <c:pt idx="5">
                  <c:v>8.389999999999997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42-4E8C-B81D-57177A5B3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2115455"/>
        <c:axId val="1669528431"/>
      </c:scatterChart>
      <c:valAx>
        <c:axId val="2002115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9528431"/>
        <c:crosses val="autoZero"/>
        <c:crossBetween val="midCat"/>
      </c:valAx>
      <c:valAx>
        <c:axId val="166952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21154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2</xdr:row>
      <xdr:rowOff>76200</xdr:rowOff>
    </xdr:from>
    <xdr:to>
      <xdr:col>8</xdr:col>
      <xdr:colOff>361950</xdr:colOff>
      <xdr:row>16</xdr:row>
      <xdr:rowOff>95250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B2C18D5B-6B42-4434-AA23-A23C7DA5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600075"/>
          <a:ext cx="32861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3</xdr:row>
      <xdr:rowOff>90487</xdr:rowOff>
    </xdr:from>
    <xdr:to>
      <xdr:col>14</xdr:col>
      <xdr:colOff>257175</xdr:colOff>
      <xdr:row>14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29B4513-C3C1-4CCB-BAB6-9E27F04926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B0B36-FF20-4B3C-9751-D6130A1128B5}">
  <sheetPr codeName="Лист1"/>
  <dimension ref="A1:V51"/>
  <sheetViews>
    <sheetView tabSelected="1" zoomScaleNormal="100" workbookViewId="0">
      <selection activeCell="I38" sqref="I38:L38"/>
    </sheetView>
  </sheetViews>
  <sheetFormatPr defaultRowHeight="15" x14ac:dyDescent="0.25"/>
  <cols>
    <col min="1" max="6" width="9.140625" style="1"/>
    <col min="7" max="7" width="12" style="1" customWidth="1"/>
    <col min="8" max="8" width="9.140625" style="1"/>
    <col min="9" max="9" width="9.140625" style="1" customWidth="1"/>
    <col min="10" max="10" width="9.140625" style="1"/>
    <col min="11" max="11" width="12.7109375" style="1" customWidth="1"/>
    <col min="12" max="12" width="13" style="1" customWidth="1"/>
    <col min="13" max="13" width="3.42578125" style="13" customWidth="1"/>
    <col min="14" max="14" width="2" style="1" customWidth="1"/>
    <col min="15" max="16384" width="9.140625" style="1"/>
  </cols>
  <sheetData>
    <row r="1" spans="1:22" ht="26.25" customHeight="1" x14ac:dyDescent="0.2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O1" s="3" t="s">
        <v>11</v>
      </c>
      <c r="R1" s="19"/>
    </row>
    <row r="2" spans="1:22" s="17" customFormat="1" ht="15" customHeight="1" x14ac:dyDescent="0.25">
      <c r="A2" s="20" t="s">
        <v>18</v>
      </c>
      <c r="B2" s="21"/>
      <c r="C2" s="21"/>
      <c r="D2" s="21"/>
      <c r="E2" s="21"/>
      <c r="F2" s="21"/>
      <c r="G2" s="21"/>
      <c r="H2" s="21"/>
      <c r="I2" s="21"/>
      <c r="J2" s="22"/>
      <c r="K2" s="23"/>
      <c r="L2" s="23"/>
      <c r="M2" s="24" t="s">
        <v>20</v>
      </c>
      <c r="O2" s="43" t="s">
        <v>52</v>
      </c>
      <c r="P2" s="43"/>
      <c r="Q2" s="43"/>
      <c r="R2" s="43"/>
      <c r="S2" s="43"/>
      <c r="T2" s="43"/>
      <c r="U2" s="43"/>
      <c r="V2" s="43"/>
    </row>
    <row r="3" spans="1:22" x14ac:dyDescent="0.25">
      <c r="A3" s="29" t="s">
        <v>19</v>
      </c>
      <c r="N3" s="28"/>
      <c r="O3" s="43"/>
      <c r="P3" s="43"/>
      <c r="Q3" s="43"/>
      <c r="R3" s="43"/>
      <c r="S3" s="43"/>
      <c r="T3" s="43"/>
      <c r="U3" s="43"/>
      <c r="V3" s="43"/>
    </row>
    <row r="4" spans="1:22" x14ac:dyDescent="0.25">
      <c r="N4" s="28"/>
      <c r="O4" s="43"/>
      <c r="P4" s="43"/>
      <c r="Q4" s="43"/>
      <c r="R4" s="43"/>
      <c r="S4" s="43"/>
      <c r="T4" s="43"/>
      <c r="U4" s="43"/>
      <c r="V4" s="43"/>
    </row>
    <row r="5" spans="1:22" x14ac:dyDescent="0.25">
      <c r="N5" s="28"/>
      <c r="O5" s="43"/>
      <c r="P5" s="43"/>
      <c r="Q5" s="43"/>
      <c r="R5" s="43"/>
      <c r="S5" s="43"/>
      <c r="T5" s="43"/>
      <c r="U5" s="43"/>
      <c r="V5" s="43"/>
    </row>
    <row r="6" spans="1:22" x14ac:dyDescent="0.25">
      <c r="N6" s="28"/>
      <c r="O6" s="43"/>
      <c r="P6" s="43"/>
      <c r="Q6" s="43"/>
      <c r="R6" s="43"/>
      <c r="S6" s="43"/>
      <c r="T6" s="43"/>
      <c r="U6" s="43"/>
      <c r="V6" s="43"/>
    </row>
    <row r="7" spans="1:22" x14ac:dyDescent="0.25">
      <c r="N7" s="28"/>
      <c r="O7" s="43"/>
      <c r="P7" s="43"/>
      <c r="Q7" s="43"/>
      <c r="R7" s="43"/>
      <c r="S7" s="43"/>
      <c r="T7" s="43"/>
      <c r="U7" s="43"/>
      <c r="V7" s="43"/>
    </row>
    <row r="8" spans="1:22" x14ac:dyDescent="0.25">
      <c r="N8" s="28"/>
      <c r="O8" s="43"/>
      <c r="P8" s="43"/>
      <c r="Q8" s="43"/>
      <c r="R8" s="43"/>
      <c r="S8" s="43"/>
      <c r="T8" s="43"/>
      <c r="U8" s="43"/>
      <c r="V8" s="43"/>
    </row>
    <row r="9" spans="1:22" x14ac:dyDescent="0.25">
      <c r="N9" s="28"/>
      <c r="O9" s="43"/>
      <c r="P9" s="43"/>
      <c r="Q9" s="43"/>
      <c r="R9" s="43"/>
      <c r="S9" s="43"/>
      <c r="T9" s="43"/>
      <c r="U9" s="43"/>
      <c r="V9" s="43"/>
    </row>
    <row r="10" spans="1:22" x14ac:dyDescent="0.25">
      <c r="N10" s="28"/>
      <c r="O10" s="43"/>
      <c r="P10" s="43"/>
      <c r="Q10" s="43"/>
      <c r="R10" s="43"/>
      <c r="S10" s="43"/>
      <c r="T10" s="43"/>
      <c r="U10" s="43"/>
      <c r="V10" s="43"/>
    </row>
    <row r="11" spans="1:22" x14ac:dyDescent="0.25">
      <c r="N11" s="28"/>
      <c r="O11" s="43"/>
      <c r="P11" s="43"/>
      <c r="Q11" s="43"/>
      <c r="R11" s="43"/>
      <c r="S11" s="43"/>
      <c r="T11" s="43"/>
      <c r="U11" s="43"/>
      <c r="V11" s="43"/>
    </row>
    <row r="12" spans="1:22" x14ac:dyDescent="0.25">
      <c r="N12" s="28"/>
      <c r="O12" s="43"/>
      <c r="P12" s="43"/>
      <c r="Q12" s="43"/>
      <c r="R12" s="43"/>
      <c r="S12" s="43"/>
      <c r="T12" s="43"/>
      <c r="U12" s="43"/>
      <c r="V12" s="43"/>
    </row>
    <row r="13" spans="1:22" x14ac:dyDescent="0.25">
      <c r="N13" s="28"/>
      <c r="O13" s="43"/>
      <c r="P13" s="43"/>
      <c r="Q13" s="43"/>
      <c r="R13" s="43"/>
      <c r="S13" s="43"/>
      <c r="T13" s="43"/>
      <c r="U13" s="43"/>
      <c r="V13" s="43"/>
    </row>
    <row r="14" spans="1:22" x14ac:dyDescent="0.25">
      <c r="N14" s="28"/>
      <c r="O14" s="43"/>
      <c r="P14" s="43"/>
      <c r="Q14" s="43"/>
      <c r="R14" s="43"/>
      <c r="S14" s="43"/>
      <c r="T14" s="43"/>
      <c r="U14" s="43"/>
      <c r="V14" s="43"/>
    </row>
    <row r="15" spans="1:22" x14ac:dyDescent="0.25">
      <c r="N15" s="28"/>
      <c r="O15" s="43"/>
      <c r="P15" s="43"/>
      <c r="Q15" s="43"/>
      <c r="R15" s="43"/>
      <c r="S15" s="43"/>
      <c r="T15" s="43"/>
      <c r="U15" s="43"/>
      <c r="V15" s="43"/>
    </row>
    <row r="16" spans="1:22" x14ac:dyDescent="0.25">
      <c r="N16" s="28"/>
      <c r="O16" s="43"/>
      <c r="P16" s="43"/>
      <c r="Q16" s="43"/>
      <c r="R16" s="43"/>
      <c r="S16" s="43"/>
      <c r="T16" s="43"/>
      <c r="U16" s="43"/>
      <c r="V16" s="43"/>
    </row>
    <row r="17" spans="1:22" x14ac:dyDescent="0.25">
      <c r="N17" s="28"/>
      <c r="O17" s="43"/>
      <c r="P17" s="43"/>
      <c r="Q17" s="43"/>
      <c r="R17" s="43"/>
      <c r="S17" s="43"/>
      <c r="T17" s="43"/>
      <c r="U17" s="43"/>
      <c r="V17" s="43"/>
    </row>
    <row r="18" spans="1:22" ht="15.75" x14ac:dyDescent="0.25">
      <c r="A18" s="39" t="s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28"/>
      <c r="O18" s="43"/>
      <c r="P18" s="43"/>
      <c r="Q18" s="43"/>
      <c r="R18" s="43"/>
      <c r="S18" s="43"/>
      <c r="T18" s="43"/>
      <c r="U18" s="43"/>
      <c r="V18" s="43"/>
    </row>
    <row r="19" spans="1:22" x14ac:dyDescent="0.25">
      <c r="N19" s="28"/>
      <c r="O19" s="43"/>
      <c r="P19" s="43"/>
      <c r="Q19" s="43"/>
      <c r="R19" s="43"/>
      <c r="S19" s="43"/>
      <c r="T19" s="43"/>
      <c r="U19" s="43"/>
      <c r="V19" s="43"/>
    </row>
    <row r="20" spans="1:22" ht="15" customHeight="1" x14ac:dyDescent="0.25">
      <c r="B20" s="1" t="s">
        <v>27</v>
      </c>
      <c r="G20" s="50"/>
      <c r="H20" s="51" t="s">
        <v>26</v>
      </c>
      <c r="I20" s="32">
        <v>1.4</v>
      </c>
      <c r="J20" s="50" t="s">
        <v>1</v>
      </c>
      <c r="K20" s="50"/>
      <c r="L20" s="50"/>
      <c r="N20" s="28"/>
      <c r="O20" s="43"/>
      <c r="P20" s="43"/>
      <c r="Q20" s="43"/>
      <c r="R20" s="43"/>
      <c r="S20" s="43"/>
      <c r="T20" s="43"/>
      <c r="U20" s="43"/>
      <c r="V20" s="43"/>
    </row>
    <row r="21" spans="1:22" ht="5.0999999999999996" customHeight="1" x14ac:dyDescent="0.25">
      <c r="G21" s="50"/>
      <c r="H21" s="52"/>
      <c r="I21" s="50"/>
      <c r="J21" s="50"/>
      <c r="K21" s="50"/>
      <c r="L21" s="50"/>
      <c r="N21" s="28"/>
      <c r="O21" s="43"/>
      <c r="P21" s="43"/>
      <c r="Q21" s="43"/>
      <c r="R21" s="43"/>
      <c r="S21" s="43"/>
      <c r="T21" s="43"/>
      <c r="U21" s="43"/>
      <c r="V21" s="43"/>
    </row>
    <row r="22" spans="1:22" ht="15" customHeight="1" x14ac:dyDescent="0.25">
      <c r="B22" s="1" t="s">
        <v>28</v>
      </c>
      <c r="G22" s="50"/>
      <c r="H22" s="51" t="s">
        <v>2</v>
      </c>
      <c r="I22" s="32">
        <v>2</v>
      </c>
      <c r="J22" s="50" t="s">
        <v>1</v>
      </c>
      <c r="K22" s="50"/>
      <c r="L22" s="50"/>
      <c r="N22" s="28"/>
      <c r="O22" s="43"/>
      <c r="P22" s="43"/>
      <c r="Q22" s="43"/>
      <c r="R22" s="43"/>
      <c r="S22" s="43"/>
      <c r="T22" s="43"/>
      <c r="U22" s="43"/>
      <c r="V22" s="43"/>
    </row>
    <row r="23" spans="1:22" ht="5.0999999999999996" customHeight="1" x14ac:dyDescent="0.25">
      <c r="G23" s="50"/>
      <c r="H23" s="52"/>
      <c r="I23" s="50"/>
      <c r="J23" s="50"/>
      <c r="K23" s="50"/>
      <c r="L23" s="50"/>
      <c r="N23" s="28"/>
      <c r="O23" s="43"/>
      <c r="P23" s="43"/>
      <c r="Q23" s="43"/>
      <c r="R23" s="43"/>
      <c r="S23" s="43"/>
      <c r="T23" s="43"/>
      <c r="U23" s="43"/>
      <c r="V23" s="43"/>
    </row>
    <row r="24" spans="1:22" ht="15" customHeight="1" x14ac:dyDescent="0.25">
      <c r="B24" s="1" t="s">
        <v>25</v>
      </c>
      <c r="G24" s="50"/>
      <c r="H24" s="51" t="s">
        <v>0</v>
      </c>
      <c r="I24" s="32">
        <v>1.5</v>
      </c>
      <c r="J24" s="50" t="s">
        <v>1</v>
      </c>
      <c r="K24" s="50"/>
      <c r="L24" s="50"/>
      <c r="N24" s="28"/>
      <c r="O24" s="43"/>
      <c r="P24" s="43"/>
      <c r="Q24" s="43"/>
      <c r="R24" s="43"/>
      <c r="S24" s="43"/>
      <c r="T24" s="43"/>
      <c r="U24" s="43"/>
      <c r="V24" s="43"/>
    </row>
    <row r="25" spans="1:22" ht="5.0999999999999996" customHeight="1" x14ac:dyDescent="0.25">
      <c r="G25" s="50"/>
      <c r="H25" s="52"/>
      <c r="I25" s="50"/>
      <c r="J25" s="50"/>
      <c r="K25" s="50"/>
      <c r="L25" s="50"/>
      <c r="N25" s="25"/>
      <c r="O25" s="43"/>
      <c r="P25" s="43"/>
      <c r="Q25" s="43"/>
      <c r="R25" s="43"/>
      <c r="S25" s="43"/>
      <c r="T25" s="43"/>
      <c r="U25" s="43"/>
      <c r="V25" s="43"/>
    </row>
    <row r="26" spans="1:22" ht="15" customHeight="1" x14ac:dyDescent="0.25">
      <c r="B26" s="1" t="s">
        <v>42</v>
      </c>
      <c r="G26" s="50"/>
      <c r="H26" s="52"/>
      <c r="I26" s="55" t="s">
        <v>80</v>
      </c>
      <c r="J26" s="56"/>
      <c r="K26" s="57"/>
      <c r="L26" s="50"/>
      <c r="M26" s="14"/>
      <c r="N26" s="25"/>
      <c r="O26" s="43"/>
      <c r="P26" s="43"/>
      <c r="Q26" s="43"/>
      <c r="R26" s="43"/>
      <c r="S26" s="43"/>
      <c r="T26" s="43"/>
      <c r="U26" s="43"/>
      <c r="V26" s="43"/>
    </row>
    <row r="27" spans="1:22" ht="5.0999999999999996" customHeight="1" x14ac:dyDescent="0.25">
      <c r="G27" s="50"/>
      <c r="H27" s="52"/>
      <c r="I27" s="50"/>
      <c r="J27" s="50"/>
      <c r="K27" s="50"/>
      <c r="L27" s="50"/>
      <c r="N27" s="25"/>
      <c r="O27" s="25"/>
      <c r="P27" s="25"/>
      <c r="Q27" s="25"/>
      <c r="R27" s="25"/>
      <c r="S27" s="25"/>
      <c r="T27" s="25"/>
      <c r="U27" s="25"/>
      <c r="V27" s="25"/>
    </row>
    <row r="28" spans="1:22" ht="15" customHeight="1" x14ac:dyDescent="0.25">
      <c r="B28" s="1" t="s">
        <v>41</v>
      </c>
      <c r="G28" s="50"/>
      <c r="H28" s="53" t="s">
        <v>3</v>
      </c>
      <c r="I28" s="32">
        <v>17</v>
      </c>
      <c r="J28" s="54" t="s">
        <v>4</v>
      </c>
      <c r="K28" s="50"/>
      <c r="L28" s="50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5.0999999999999996" customHeight="1" x14ac:dyDescent="0.25">
      <c r="G29" s="50"/>
      <c r="H29" s="52"/>
      <c r="I29" s="50"/>
      <c r="J29" s="50"/>
      <c r="K29" s="50"/>
      <c r="L29" s="50"/>
    </row>
    <row r="30" spans="1:22" ht="15" customHeight="1" x14ac:dyDescent="0.25">
      <c r="B30" s="1" t="s">
        <v>40</v>
      </c>
      <c r="G30" s="50"/>
      <c r="H30" s="53" t="s">
        <v>5</v>
      </c>
      <c r="I30" s="32">
        <v>10</v>
      </c>
      <c r="J30" s="54" t="s">
        <v>6</v>
      </c>
      <c r="K30" s="50"/>
      <c r="L30" s="50"/>
    </row>
    <row r="31" spans="1:22" ht="5.0999999999999996" customHeight="1" x14ac:dyDescent="0.25">
      <c r="G31" s="50"/>
      <c r="H31" s="52"/>
      <c r="I31" s="50"/>
      <c r="J31" s="50"/>
      <c r="K31" s="50"/>
      <c r="L31" s="50"/>
    </row>
    <row r="32" spans="1:22" ht="15.75" x14ac:dyDescent="0.25">
      <c r="B32" s="1" t="s">
        <v>24</v>
      </c>
      <c r="G32" s="50"/>
      <c r="H32" s="51" t="s">
        <v>12</v>
      </c>
      <c r="I32" s="32">
        <v>1.85</v>
      </c>
      <c r="J32" s="50" t="s">
        <v>13</v>
      </c>
      <c r="K32" s="50"/>
      <c r="L32" s="50"/>
    </row>
    <row r="33" spans="1:14" ht="5.0999999999999996" customHeight="1" x14ac:dyDescent="0.25">
      <c r="G33" s="50"/>
      <c r="H33" s="50"/>
      <c r="I33" s="50"/>
      <c r="J33" s="50"/>
      <c r="K33" s="50"/>
      <c r="L33" s="50"/>
    </row>
    <row r="34" spans="1:14" ht="15" customHeight="1" x14ac:dyDescent="0.25">
      <c r="B34" s="1" t="s">
        <v>56</v>
      </c>
      <c r="G34" s="50"/>
      <c r="H34" s="51" t="s">
        <v>57</v>
      </c>
      <c r="I34" s="32">
        <v>12</v>
      </c>
      <c r="J34" s="50" t="s">
        <v>58</v>
      </c>
      <c r="K34" s="50"/>
      <c r="L34" s="50"/>
    </row>
    <row r="35" spans="1:14" ht="5.0999999999999996" customHeight="1" x14ac:dyDescent="0.25">
      <c r="G35" s="50"/>
      <c r="H35" s="50"/>
      <c r="I35" s="50"/>
      <c r="J35" s="50"/>
      <c r="K35" s="50"/>
      <c r="L35" s="50"/>
    </row>
    <row r="36" spans="1:14" ht="15.75" x14ac:dyDescent="0.25">
      <c r="B36" s="1" t="s">
        <v>31</v>
      </c>
      <c r="G36" s="50"/>
      <c r="H36" s="51" t="s">
        <v>29</v>
      </c>
      <c r="I36" s="32">
        <v>38</v>
      </c>
      <c r="J36" s="50" t="s">
        <v>30</v>
      </c>
      <c r="K36" s="50"/>
      <c r="L36" s="50"/>
    </row>
    <row r="37" spans="1:14" ht="5.0999999999999996" customHeight="1" x14ac:dyDescent="0.25">
      <c r="G37" s="50"/>
      <c r="H37" s="50"/>
      <c r="I37" s="50"/>
      <c r="J37" s="50"/>
      <c r="K37" s="50"/>
      <c r="L37" s="50"/>
    </row>
    <row r="38" spans="1:14" x14ac:dyDescent="0.25">
      <c r="B38" s="1" t="s">
        <v>37</v>
      </c>
      <c r="G38" s="50"/>
      <c r="H38" s="50"/>
      <c r="I38" s="58" t="s">
        <v>39</v>
      </c>
      <c r="J38" s="59"/>
      <c r="K38" s="59"/>
      <c r="L38" s="60"/>
      <c r="M38" s="1"/>
      <c r="N38" s="27"/>
    </row>
    <row r="39" spans="1:14" ht="5.0999999999999996" customHeight="1" x14ac:dyDescent="0.25">
      <c r="G39" s="50"/>
      <c r="H39" s="50"/>
      <c r="I39" s="50"/>
      <c r="J39" s="50"/>
      <c r="K39" s="50"/>
      <c r="L39" s="50"/>
    </row>
    <row r="40" spans="1:14" x14ac:dyDescent="0.25">
      <c r="G40" s="50"/>
      <c r="H40" s="50"/>
      <c r="I40" s="50"/>
      <c r="J40" s="50"/>
      <c r="K40" s="50"/>
      <c r="L40" s="50"/>
    </row>
    <row r="41" spans="1:14" ht="15.75" x14ac:dyDescent="0.25">
      <c r="A41" s="40" t="s">
        <v>17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</row>
    <row r="42" spans="1:14" s="17" customFormat="1" x14ac:dyDescent="0.25">
      <c r="A42" s="2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</row>
    <row r="43" spans="1:14" s="17" customFormat="1" ht="15" customHeight="1" x14ac:dyDescent="0.25">
      <c r="A43" s="27"/>
      <c r="B43" s="17" t="s">
        <v>43</v>
      </c>
      <c r="H43" s="49" t="s">
        <v>15</v>
      </c>
      <c r="I43" s="46">
        <f>Лист2!Z26</f>
        <v>166.14812499999999</v>
      </c>
      <c r="J43" s="18" t="s">
        <v>6</v>
      </c>
      <c r="M43" s="13"/>
    </row>
    <row r="44" spans="1:14" ht="5.0999999999999996" customHeight="1" x14ac:dyDescent="0.25"/>
    <row r="45" spans="1:14" ht="15.75" x14ac:dyDescent="0.25">
      <c r="B45" s="1" t="s">
        <v>73</v>
      </c>
      <c r="H45" s="2" t="s">
        <v>74</v>
      </c>
      <c r="I45" s="46">
        <f>Лист2!I47</f>
        <v>474.39654999999993</v>
      </c>
      <c r="J45" s="1" t="s">
        <v>6</v>
      </c>
    </row>
    <row r="46" spans="1:14" ht="5.0999999999999996" customHeight="1" x14ac:dyDescent="0.25"/>
    <row r="47" spans="1:14" ht="15.75" x14ac:dyDescent="0.25">
      <c r="B47" s="1" t="s">
        <v>54</v>
      </c>
      <c r="H47" s="2" t="s">
        <v>55</v>
      </c>
      <c r="I47" s="46">
        <f>I36*10/I20/I22</f>
        <v>135.71428571428572</v>
      </c>
      <c r="J47" s="1" t="s">
        <v>6</v>
      </c>
    </row>
    <row r="48" spans="1:14" ht="5.0999999999999996" customHeight="1" x14ac:dyDescent="0.25"/>
    <row r="49" spans="2:10" ht="20.100000000000001" customHeight="1" x14ac:dyDescent="0.25">
      <c r="B49" s="1" t="s">
        <v>75</v>
      </c>
      <c r="H49" s="2" t="s">
        <v>77</v>
      </c>
      <c r="I49" s="47">
        <f>IF(I47&lt;=I43,Лист2!E42*100,Лист2!I52*100)</f>
        <v>2.9757432925170066</v>
      </c>
      <c r="J49" s="1" t="s">
        <v>76</v>
      </c>
    </row>
    <row r="50" spans="2:10" ht="5.0999999999999996" customHeight="1" x14ac:dyDescent="0.25"/>
    <row r="51" spans="2:10" ht="18.75" x14ac:dyDescent="0.25">
      <c r="I51" s="48" t="str">
        <f>IF(I47&gt;I45,"Увеличьте размеры щита!","")</f>
        <v/>
      </c>
    </row>
  </sheetData>
  <sheetProtection algorithmName="SHA-512" hashValue="i1Q/+KS/faEZbNKVCxmCTsdPwDQ+YfwZ5nPQrt2GXqQi2bwa3goGR1Mxg5BwDUI9oSKeQTXmETyJipyg/hXdAA==" saltValue="iDjSLHpFww7QMz332EgFHg==" spinCount="100000" sheet="1" selectLockedCells="1"/>
  <mergeCells count="6">
    <mergeCell ref="A1:M1"/>
    <mergeCell ref="A18:M18"/>
    <mergeCell ref="A41:M41"/>
    <mergeCell ref="O2:V26"/>
    <mergeCell ref="I26:K26"/>
    <mergeCell ref="I38:L38"/>
  </mergeCells>
  <conditionalFormatting sqref="I49">
    <cfRule type="cellIs" dxfId="0" priority="1" operator="lessThanOrEqual">
      <formula>0</formula>
    </cfRule>
  </conditionalFormatting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EA1753E-87FD-4830-9EF4-7BD84D99EF1A}">
          <x14:formula1>
            <xm:f>Лист2!$Q$4:$Q$49</xm:f>
          </x14:formula1>
          <xm:sqref>I28</xm:sqref>
        </x14:dataValidation>
        <x14:dataValidation type="list" allowBlank="1" showInputMessage="1" showErrorMessage="1" xr:uid="{C7B410CE-BAD6-4DF6-89BB-12DA29CB146A}">
          <x14:formula1>
            <xm:f>Лист2!$X$3:$X$9</xm:f>
          </x14:formula1>
          <xm:sqref>I26:K26</xm:sqref>
        </x14:dataValidation>
        <x14:dataValidation type="list" allowBlank="1" showInputMessage="1" showErrorMessage="1" xr:uid="{705251EF-C888-4519-AC48-2C4F0B2A6C01}">
          <x14:formula1>
            <xm:f>Лист2!$X$11:$X$12</xm:f>
          </x14:formula1>
          <xm:sqref>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29A4E-E913-42A5-84D9-9D71E4895899}">
  <sheetPr codeName="Лист2"/>
  <dimension ref="B1:AC52"/>
  <sheetViews>
    <sheetView topLeftCell="B1" workbookViewId="0">
      <selection activeCell="I50" sqref="I50"/>
    </sheetView>
  </sheetViews>
  <sheetFormatPr defaultRowHeight="15" x14ac:dyDescent="0.25"/>
  <cols>
    <col min="1" max="1" width="9.140625" style="8"/>
    <col min="2" max="2" width="11.5703125" style="8" customWidth="1"/>
    <col min="3" max="16384" width="9.140625" style="8"/>
  </cols>
  <sheetData>
    <row r="1" spans="2:29" ht="15.75" thickBot="1" x14ac:dyDescent="0.3">
      <c r="C1" s="8" t="s">
        <v>21</v>
      </c>
    </row>
    <row r="2" spans="2:29" ht="15.75" thickBot="1" x14ac:dyDescent="0.3">
      <c r="B2"/>
      <c r="C2" s="30">
        <v>1</v>
      </c>
      <c r="D2" s="30">
        <v>1.4</v>
      </c>
      <c r="E2" s="30">
        <v>1.8</v>
      </c>
      <c r="F2" s="30">
        <v>2.4</v>
      </c>
      <c r="G2" s="30">
        <v>3.2</v>
      </c>
      <c r="H2" s="30">
        <v>5</v>
      </c>
      <c r="X2" s="4"/>
      <c r="Y2" s="5"/>
      <c r="Z2" s="5"/>
      <c r="AA2" s="5"/>
      <c r="AB2" s="5" t="s">
        <v>35</v>
      </c>
      <c r="AC2" s="6" t="s">
        <v>36</v>
      </c>
    </row>
    <row r="3" spans="2:29" ht="15.75" thickBot="1" x14ac:dyDescent="0.3">
      <c r="B3" s="31"/>
      <c r="C3" s="31">
        <v>1</v>
      </c>
      <c r="D3" s="31">
        <v>1</v>
      </c>
      <c r="E3" s="31">
        <v>1</v>
      </c>
      <c r="F3" s="31">
        <v>1</v>
      </c>
      <c r="G3" s="31">
        <v>1</v>
      </c>
      <c r="H3" s="31">
        <v>1</v>
      </c>
      <c r="Q3" t="s">
        <v>14</v>
      </c>
      <c r="R3"/>
      <c r="S3"/>
      <c r="T3"/>
      <c r="U3" s="8" t="s">
        <v>64</v>
      </c>
      <c r="V3" s="8" t="s">
        <v>65</v>
      </c>
      <c r="W3" s="8" t="s">
        <v>66</v>
      </c>
      <c r="X3" s="7" t="s">
        <v>7</v>
      </c>
      <c r="AB3" s="8">
        <v>1.4</v>
      </c>
      <c r="AC3" s="9">
        <v>1.2</v>
      </c>
    </row>
    <row r="4" spans="2:29" ht="15.75" thickBot="1" x14ac:dyDescent="0.3">
      <c r="B4" s="31"/>
      <c r="C4" s="31">
        <v>0.94899999999999995</v>
      </c>
      <c r="D4" s="31">
        <v>0.96</v>
      </c>
      <c r="E4" s="31">
        <v>0.97199999999999998</v>
      </c>
      <c r="F4" s="31">
        <v>0.97499999999999998</v>
      </c>
      <c r="G4" s="31">
        <v>0.97599999999999998</v>
      </c>
      <c r="H4" s="31">
        <v>0.97699999999999998</v>
      </c>
      <c r="Q4" s="4">
        <v>0</v>
      </c>
      <c r="R4" s="5">
        <v>0</v>
      </c>
      <c r="S4" s="5">
        <v>1</v>
      </c>
      <c r="T4" s="5">
        <v>3.14</v>
      </c>
      <c r="U4" s="33">
        <v>0</v>
      </c>
      <c r="V4" s="33">
        <v>1</v>
      </c>
      <c r="W4" s="33">
        <v>5.14</v>
      </c>
      <c r="X4" s="7" t="s">
        <v>8</v>
      </c>
      <c r="AB4" s="8">
        <v>1.3</v>
      </c>
      <c r="AC4" s="9">
        <v>1.1000000000000001</v>
      </c>
    </row>
    <row r="5" spans="2:29" ht="15.75" thickBot="1" x14ac:dyDescent="0.3">
      <c r="B5" s="31"/>
      <c r="C5" s="31">
        <v>0.75600000000000001</v>
      </c>
      <c r="D5" s="31">
        <v>0.8</v>
      </c>
      <c r="E5" s="31">
        <v>0.84799999999999998</v>
      </c>
      <c r="F5" s="31">
        <v>0.86599999999999999</v>
      </c>
      <c r="G5" s="31">
        <v>0.876</v>
      </c>
      <c r="H5" s="31">
        <v>0.879</v>
      </c>
      <c r="Q5" s="7">
        <v>1</v>
      </c>
      <c r="R5">
        <v>0.01</v>
      </c>
      <c r="S5">
        <v>1.06</v>
      </c>
      <c r="T5">
        <v>3.23</v>
      </c>
      <c r="U5" s="8">
        <v>0.04</v>
      </c>
      <c r="V5" s="33">
        <v>1.1100000000000001</v>
      </c>
      <c r="W5" s="33">
        <v>5.41</v>
      </c>
      <c r="X5" s="7" t="s">
        <v>9</v>
      </c>
      <c r="AB5" s="8">
        <v>1.1000000000000001</v>
      </c>
      <c r="AC5" s="9">
        <v>1</v>
      </c>
    </row>
    <row r="6" spans="2:29" ht="15.75" thickBot="1" x14ac:dyDescent="0.3">
      <c r="B6" s="31"/>
      <c r="C6" s="31">
        <v>0.54700000000000004</v>
      </c>
      <c r="D6" s="31">
        <v>0.60599999999999998</v>
      </c>
      <c r="E6" s="31">
        <v>0.68200000000000005</v>
      </c>
      <c r="F6" s="31">
        <v>0.71699999999999997</v>
      </c>
      <c r="G6" s="31">
        <v>0.73899999999999999</v>
      </c>
      <c r="H6" s="31">
        <v>0.749</v>
      </c>
      <c r="Q6" s="7">
        <v>2</v>
      </c>
      <c r="R6">
        <v>0.03</v>
      </c>
      <c r="S6">
        <v>1.1200000000000001</v>
      </c>
      <c r="T6">
        <v>3.32</v>
      </c>
      <c r="U6" s="8">
        <v>0.08</v>
      </c>
      <c r="V6" s="33">
        <v>1.22</v>
      </c>
      <c r="W6" s="33">
        <v>5.68</v>
      </c>
      <c r="X6" s="7" t="s">
        <v>10</v>
      </c>
      <c r="AB6" s="33">
        <v>1</v>
      </c>
      <c r="AC6" s="9">
        <v>1</v>
      </c>
    </row>
    <row r="7" spans="2:29" ht="15.75" thickBot="1" x14ac:dyDescent="0.3">
      <c r="B7" s="31"/>
      <c r="C7" s="31">
        <v>0.39</v>
      </c>
      <c r="D7" s="31">
        <v>0.44900000000000001</v>
      </c>
      <c r="E7" s="31">
        <v>0.53200000000000003</v>
      </c>
      <c r="F7" s="31">
        <v>0.57799999999999996</v>
      </c>
      <c r="G7" s="31">
        <v>0.61199999999999999</v>
      </c>
      <c r="H7" s="31">
        <v>0.629</v>
      </c>
      <c r="Q7" s="7">
        <v>3</v>
      </c>
      <c r="R7">
        <v>0.04</v>
      </c>
      <c r="S7">
        <v>1.18</v>
      </c>
      <c r="T7">
        <v>3.41</v>
      </c>
      <c r="U7" s="33">
        <v>0.12</v>
      </c>
      <c r="V7" s="33">
        <v>1.33</v>
      </c>
      <c r="W7" s="33">
        <v>5.95</v>
      </c>
      <c r="X7" s="7" t="s">
        <v>32</v>
      </c>
      <c r="AB7" s="33">
        <v>1.25</v>
      </c>
      <c r="AC7" s="9">
        <v>1</v>
      </c>
    </row>
    <row r="8" spans="2:29" ht="15.75" thickBot="1" x14ac:dyDescent="0.3">
      <c r="B8" s="31"/>
      <c r="C8" s="31">
        <v>0.28499999999999998</v>
      </c>
      <c r="D8" s="31">
        <v>0.33600000000000002</v>
      </c>
      <c r="E8" s="31">
        <v>0.41399999999999998</v>
      </c>
      <c r="F8" s="31">
        <v>0.46300000000000002</v>
      </c>
      <c r="G8" s="31">
        <v>0.505</v>
      </c>
      <c r="H8" s="31">
        <v>0.53</v>
      </c>
      <c r="Q8" s="7">
        <v>4</v>
      </c>
      <c r="R8">
        <v>0.06</v>
      </c>
      <c r="S8">
        <v>1.25</v>
      </c>
      <c r="T8">
        <v>3.51</v>
      </c>
      <c r="U8" s="33">
        <v>0.16</v>
      </c>
      <c r="V8" s="33">
        <v>1.44</v>
      </c>
      <c r="W8" s="33">
        <v>6.22</v>
      </c>
      <c r="X8" s="7" t="s">
        <v>33</v>
      </c>
      <c r="AB8" s="33">
        <v>1.2</v>
      </c>
      <c r="AC8" s="9">
        <v>1</v>
      </c>
    </row>
    <row r="9" spans="2:29" ht="15.75" thickBot="1" x14ac:dyDescent="0.3">
      <c r="B9" s="31"/>
      <c r="C9" s="31">
        <v>0.214</v>
      </c>
      <c r="D9" s="31">
        <v>0.25700000000000001</v>
      </c>
      <c r="E9" s="31">
        <v>0.32500000000000001</v>
      </c>
      <c r="F9" s="31">
        <v>0.374</v>
      </c>
      <c r="G9" s="31">
        <v>0.41899999999999998</v>
      </c>
      <c r="H9" s="31">
        <v>0.44900000000000001</v>
      </c>
      <c r="Q9" s="7">
        <v>5</v>
      </c>
      <c r="R9">
        <v>0.08</v>
      </c>
      <c r="S9">
        <v>1.32</v>
      </c>
      <c r="T9">
        <v>3.61</v>
      </c>
      <c r="U9" s="8">
        <v>0.2</v>
      </c>
      <c r="V9" s="33">
        <v>1.57</v>
      </c>
      <c r="W9" s="33">
        <v>6.49</v>
      </c>
      <c r="X9" s="10" t="s">
        <v>34</v>
      </c>
      <c r="Y9" s="11"/>
      <c r="Z9" s="11"/>
      <c r="AA9" s="11"/>
      <c r="AB9" s="11">
        <v>1.1000000000000001</v>
      </c>
      <c r="AC9" s="12">
        <v>1</v>
      </c>
    </row>
    <row r="10" spans="2:29" ht="15.75" thickBot="1" x14ac:dyDescent="0.3">
      <c r="B10" s="31"/>
      <c r="C10" s="31">
        <v>0.16500000000000001</v>
      </c>
      <c r="D10" s="31">
        <v>0.20100000000000001</v>
      </c>
      <c r="E10" s="31">
        <v>0.26</v>
      </c>
      <c r="F10" s="31">
        <v>0.30399999999999999</v>
      </c>
      <c r="G10" s="31">
        <v>0.34899999999999998</v>
      </c>
      <c r="H10" s="31">
        <v>0.38300000000000001</v>
      </c>
      <c r="Q10" s="7">
        <v>6</v>
      </c>
      <c r="R10">
        <v>0.1</v>
      </c>
      <c r="S10">
        <v>1.39</v>
      </c>
      <c r="T10">
        <v>3.71</v>
      </c>
      <c r="U10" s="33">
        <v>0.28000000000000003</v>
      </c>
      <c r="V10" s="33">
        <v>1.77</v>
      </c>
      <c r="W10" s="33">
        <v>6.86</v>
      </c>
      <c r="X10"/>
      <c r="Y10"/>
      <c r="Z10"/>
    </row>
    <row r="11" spans="2:29" ht="15.75" thickBot="1" x14ac:dyDescent="0.3">
      <c r="B11" s="31"/>
      <c r="C11" s="31">
        <v>0.13</v>
      </c>
      <c r="D11" s="31">
        <v>0.16</v>
      </c>
      <c r="E11" s="31">
        <v>0.21</v>
      </c>
      <c r="F11" s="31">
        <v>0.251</v>
      </c>
      <c r="G11" s="31">
        <v>0.29399999999999998</v>
      </c>
      <c r="H11" s="31">
        <v>0.32900000000000001</v>
      </c>
      <c r="Q11" s="7">
        <v>7</v>
      </c>
      <c r="R11">
        <v>0.12</v>
      </c>
      <c r="S11">
        <v>1.47</v>
      </c>
      <c r="T11">
        <v>3.82</v>
      </c>
      <c r="U11" s="33">
        <v>0.36</v>
      </c>
      <c r="V11" s="33">
        <v>1.97</v>
      </c>
      <c r="W11" s="33">
        <v>7.23</v>
      </c>
      <c r="X11" s="4" t="s">
        <v>38</v>
      </c>
      <c r="Y11" s="5"/>
      <c r="Z11" s="5"/>
      <c r="AA11" s="5"/>
      <c r="AB11" s="5"/>
      <c r="AC11" s="34">
        <v>1.1000000000000001</v>
      </c>
    </row>
    <row r="12" spans="2:29" ht="15.75" thickBot="1" x14ac:dyDescent="0.3">
      <c r="B12" s="31"/>
      <c r="C12" s="31">
        <v>0.106</v>
      </c>
      <c r="D12" s="31">
        <v>0.13100000000000001</v>
      </c>
      <c r="E12" s="31">
        <v>0.17299999999999999</v>
      </c>
      <c r="F12" s="31">
        <v>0.20899999999999999</v>
      </c>
      <c r="G12" s="31">
        <v>0.25</v>
      </c>
      <c r="H12" s="31">
        <v>0.28499999999999998</v>
      </c>
      <c r="Q12" s="7">
        <v>8</v>
      </c>
      <c r="R12">
        <v>0.14000000000000001</v>
      </c>
      <c r="S12">
        <v>1.55</v>
      </c>
      <c r="T12">
        <v>3.93</v>
      </c>
      <c r="U12" s="33">
        <v>0.44</v>
      </c>
      <c r="V12" s="33">
        <v>2.17</v>
      </c>
      <c r="W12" s="33">
        <v>7.6</v>
      </c>
      <c r="X12" s="35" t="s">
        <v>39</v>
      </c>
      <c r="Y12" s="11"/>
      <c r="Z12" s="11"/>
      <c r="AA12" s="11"/>
      <c r="AB12" s="11"/>
      <c r="AC12" s="36">
        <v>1</v>
      </c>
    </row>
    <row r="13" spans="2:29" ht="15.75" thickBot="1" x14ac:dyDescent="0.3">
      <c r="B13" s="31"/>
      <c r="C13" s="31">
        <v>8.6999999999999994E-2</v>
      </c>
      <c r="D13" s="31">
        <v>0.108</v>
      </c>
      <c r="E13" s="31">
        <v>0.14499999999999999</v>
      </c>
      <c r="F13" s="31">
        <v>0.17599999999999999</v>
      </c>
      <c r="G13" s="31">
        <v>0.214</v>
      </c>
      <c r="H13" s="31">
        <v>0.248</v>
      </c>
      <c r="Q13" s="7">
        <v>9</v>
      </c>
      <c r="R13">
        <v>0.16</v>
      </c>
      <c r="S13">
        <v>1.64</v>
      </c>
      <c r="T13">
        <v>4.05</v>
      </c>
      <c r="U13" s="33">
        <v>0.52</v>
      </c>
      <c r="V13" s="33">
        <v>2.37</v>
      </c>
      <c r="W13" s="33">
        <v>7.97</v>
      </c>
    </row>
    <row r="14" spans="2:29" ht="15.75" thickBot="1" x14ac:dyDescent="0.3">
      <c r="B14" s="31"/>
      <c r="C14" s="31">
        <v>7.2999999999999995E-2</v>
      </c>
      <c r="D14" s="31">
        <v>9.0999999999999998E-2</v>
      </c>
      <c r="E14" s="31">
        <v>0.123</v>
      </c>
      <c r="F14" s="31">
        <v>0.15</v>
      </c>
      <c r="G14" s="31">
        <v>0.185</v>
      </c>
      <c r="H14" s="31">
        <v>0.218</v>
      </c>
      <c r="Q14" s="7">
        <v>10</v>
      </c>
      <c r="R14">
        <v>0.18</v>
      </c>
      <c r="S14">
        <v>1.73</v>
      </c>
      <c r="T14">
        <v>4.17</v>
      </c>
      <c r="U14" s="44">
        <v>0.6</v>
      </c>
      <c r="V14" s="44">
        <v>2.4700000000000002</v>
      </c>
      <c r="W14" s="44">
        <v>8.34</v>
      </c>
    </row>
    <row r="15" spans="2:29" ht="15.75" thickBot="1" x14ac:dyDescent="0.3">
      <c r="B15" s="31"/>
      <c r="C15" s="31">
        <v>6.2E-2</v>
      </c>
      <c r="D15" s="31">
        <v>7.6999999999999999E-2</v>
      </c>
      <c r="E15" s="31">
        <v>0.105</v>
      </c>
      <c r="F15" s="31">
        <v>0.13</v>
      </c>
      <c r="G15" s="31">
        <v>0.161</v>
      </c>
      <c r="H15" s="31">
        <v>0.192</v>
      </c>
      <c r="Q15" s="7">
        <v>11</v>
      </c>
      <c r="R15">
        <v>0.21</v>
      </c>
      <c r="S15">
        <v>1.83</v>
      </c>
      <c r="T15">
        <v>4.29</v>
      </c>
      <c r="U15" s="33">
        <v>0.75</v>
      </c>
      <c r="V15" s="33">
        <v>2.77</v>
      </c>
      <c r="W15" s="33">
        <v>8.8699999999999992</v>
      </c>
    </row>
    <row r="16" spans="2:29" ht="15.75" thickBot="1" x14ac:dyDescent="0.3">
      <c r="B16" s="31"/>
      <c r="C16" s="31">
        <v>5.2999999999999999E-2</v>
      </c>
      <c r="D16" s="31">
        <v>6.7000000000000004E-2</v>
      </c>
      <c r="E16" s="31">
        <v>9.0999999999999998E-2</v>
      </c>
      <c r="F16" s="31">
        <v>0.113</v>
      </c>
      <c r="G16" s="31">
        <v>0.14099999999999999</v>
      </c>
      <c r="H16" s="31">
        <v>0.17</v>
      </c>
      <c r="Q16" s="7">
        <v>12</v>
      </c>
      <c r="R16">
        <v>0.23</v>
      </c>
      <c r="S16">
        <v>1.94</v>
      </c>
      <c r="T16">
        <v>4.42</v>
      </c>
      <c r="U16" s="33">
        <v>0.9</v>
      </c>
      <c r="V16" s="33">
        <v>3.07</v>
      </c>
      <c r="W16" s="33">
        <v>9.4</v>
      </c>
    </row>
    <row r="17" spans="2:27" ht="15.75" thickBot="1" x14ac:dyDescent="0.3">
      <c r="B17" s="31"/>
      <c r="C17" s="31">
        <v>4.5999999999999999E-2</v>
      </c>
      <c r="D17" s="31">
        <v>5.8000000000000003E-2</v>
      </c>
      <c r="E17" s="31">
        <v>7.9000000000000001E-2</v>
      </c>
      <c r="F17" s="31">
        <v>9.9000000000000005E-2</v>
      </c>
      <c r="G17" s="31">
        <v>0.124</v>
      </c>
      <c r="H17" s="31">
        <v>0.152</v>
      </c>
      <c r="K17" s="8">
        <f>-0.2284*D2^2+2.17*D2+3.2393</f>
        <v>5.8296359999999998</v>
      </c>
      <c r="Q17" s="7">
        <v>13</v>
      </c>
      <c r="R17">
        <v>0.26</v>
      </c>
      <c r="S17">
        <v>2.0499999999999998</v>
      </c>
      <c r="T17">
        <v>4.55</v>
      </c>
      <c r="U17" s="33">
        <v>1.05</v>
      </c>
      <c r="V17" s="33">
        <v>3.37</v>
      </c>
      <c r="W17" s="33">
        <v>9.93</v>
      </c>
      <c r="Y17" s="8" t="s">
        <v>44</v>
      </c>
      <c r="Z17" s="8">
        <f>VLOOKUP('Сдвиг щита НО'!I26,Лист2!X3:AC9,5,FALSE)</f>
        <v>1.25</v>
      </c>
    </row>
    <row r="18" spans="2:27" ht="15.75" thickBot="1" x14ac:dyDescent="0.3">
      <c r="B18" s="31"/>
      <c r="C18" s="31">
        <v>0.04</v>
      </c>
      <c r="D18" s="31">
        <v>5.0999999999999997E-2</v>
      </c>
      <c r="E18" s="31">
        <v>7.0000000000000007E-2</v>
      </c>
      <c r="F18" s="31">
        <v>8.6999999999999994E-2</v>
      </c>
      <c r="G18" s="31">
        <v>0.11</v>
      </c>
      <c r="H18" s="31">
        <v>0.13600000000000001</v>
      </c>
      <c r="Q18" s="7">
        <v>14</v>
      </c>
      <c r="R18">
        <v>0.28999999999999998</v>
      </c>
      <c r="S18">
        <v>2.17</v>
      </c>
      <c r="T18">
        <v>4.6900000000000004</v>
      </c>
      <c r="U18" s="33">
        <v>1.2</v>
      </c>
      <c r="V18" s="33">
        <v>3.67</v>
      </c>
      <c r="W18" s="33">
        <v>10.5</v>
      </c>
      <c r="Y18" s="8" t="s">
        <v>45</v>
      </c>
      <c r="Z18" s="8">
        <f>VLOOKUP('Сдвиг щита НО'!I26,Лист2!X3:AC9,6,FALSE)</f>
        <v>1</v>
      </c>
    </row>
    <row r="19" spans="2:27" ht="15.75" thickBot="1" x14ac:dyDescent="0.3">
      <c r="B19" s="31"/>
      <c r="C19" s="31">
        <v>3.5999999999999997E-2</v>
      </c>
      <c r="D19" s="31">
        <v>4.4999999999999998E-2</v>
      </c>
      <c r="E19" s="31">
        <v>6.2E-2</v>
      </c>
      <c r="F19" s="31">
        <v>7.6999999999999999E-2</v>
      </c>
      <c r="G19" s="31">
        <v>9.9000000000000005E-2</v>
      </c>
      <c r="H19" s="31">
        <v>0.122</v>
      </c>
      <c r="Q19" s="7">
        <v>15</v>
      </c>
      <c r="R19">
        <v>0.32</v>
      </c>
      <c r="S19">
        <v>2.2999999999999998</v>
      </c>
      <c r="T19">
        <v>4.84</v>
      </c>
      <c r="U19" s="44">
        <v>1.35</v>
      </c>
      <c r="V19" s="44">
        <v>3.94</v>
      </c>
      <c r="W19" s="44">
        <v>10.98</v>
      </c>
      <c r="Y19" s="8" t="s">
        <v>46</v>
      </c>
      <c r="Z19" s="8">
        <f>VLOOKUP('Сдвиг щита НО'!I38,Лист2!X11:AC12,6,FALSE)</f>
        <v>1</v>
      </c>
    </row>
    <row r="20" spans="2:27" ht="15.75" thickBot="1" x14ac:dyDescent="0.3">
      <c r="B20" s="31"/>
      <c r="C20" s="31">
        <v>3.1E-2</v>
      </c>
      <c r="D20" s="31">
        <v>0.04</v>
      </c>
      <c r="E20" s="31">
        <v>5.5E-2</v>
      </c>
      <c r="F20" s="31">
        <v>6.9000000000000006E-2</v>
      </c>
      <c r="G20" s="31">
        <v>8.7999999999999995E-2</v>
      </c>
      <c r="H20" s="31">
        <v>0.11</v>
      </c>
      <c r="Q20" s="7">
        <v>16</v>
      </c>
      <c r="R20">
        <v>0.36</v>
      </c>
      <c r="S20">
        <v>2.4300000000000002</v>
      </c>
      <c r="T20">
        <v>4.99</v>
      </c>
      <c r="U20" s="33">
        <v>1.65</v>
      </c>
      <c r="V20" s="33">
        <v>4.4400000000000004</v>
      </c>
      <c r="W20" s="33">
        <v>11.75</v>
      </c>
      <c r="Y20" s="8" t="s">
        <v>47</v>
      </c>
      <c r="Z20" s="8">
        <f>VLOOKUP('Сдвиг щита НО'!I28,Лист2!Q4:T49,2,FALSE)</f>
        <v>0.39</v>
      </c>
    </row>
    <row r="21" spans="2:27" ht="15.75" thickBot="1" x14ac:dyDescent="0.3">
      <c r="B21" s="31"/>
      <c r="C21" s="31">
        <v>2.8000000000000001E-2</v>
      </c>
      <c r="D21" s="31">
        <v>3.5999999999999997E-2</v>
      </c>
      <c r="E21" s="31">
        <v>4.9000000000000002E-2</v>
      </c>
      <c r="F21" s="31">
        <v>6.2E-2</v>
      </c>
      <c r="G21" s="31">
        <v>0.08</v>
      </c>
      <c r="H21" s="31">
        <v>0.1</v>
      </c>
      <c r="K21" s="44"/>
      <c r="L21" s="44"/>
      <c r="M21" s="44"/>
      <c r="N21" s="44"/>
      <c r="Q21" s="7">
        <v>17</v>
      </c>
      <c r="R21">
        <v>0.39</v>
      </c>
      <c r="S21">
        <v>2.57</v>
      </c>
      <c r="T21">
        <v>5.15</v>
      </c>
      <c r="U21" s="33">
        <v>1.96</v>
      </c>
      <c r="V21" s="33">
        <v>4.9400000000000004</v>
      </c>
      <c r="W21" s="33">
        <v>12.52</v>
      </c>
      <c r="Y21" s="8" t="s">
        <v>48</v>
      </c>
      <c r="Z21" s="8">
        <f>VLOOKUP('Сдвиг щита НО'!I28,Лист2!Q4:T49,3,FALSE)</f>
        <v>2.57</v>
      </c>
    </row>
    <row r="22" spans="2:27" ht="15.75" thickBot="1" x14ac:dyDescent="0.3">
      <c r="B22" s="31"/>
      <c r="C22" s="31">
        <v>2.4E-2</v>
      </c>
      <c r="D22" s="31">
        <v>3.2000000000000001E-2</v>
      </c>
      <c r="E22" s="31">
        <v>4.3999999999999997E-2</v>
      </c>
      <c r="F22" s="31">
        <v>5.6000000000000001E-2</v>
      </c>
      <c r="G22" s="31">
        <v>7.1999999999999995E-2</v>
      </c>
      <c r="H22" s="31">
        <v>9.0999999999999998E-2</v>
      </c>
      <c r="K22" s="44"/>
      <c r="L22" s="44"/>
      <c r="M22" s="44"/>
      <c r="N22" s="44"/>
      <c r="Q22" s="7">
        <v>18</v>
      </c>
      <c r="R22">
        <v>0.43</v>
      </c>
      <c r="S22">
        <v>2.73</v>
      </c>
      <c r="T22">
        <v>5.31</v>
      </c>
      <c r="U22" s="33">
        <v>2.27</v>
      </c>
      <c r="V22" s="33">
        <v>5.44</v>
      </c>
      <c r="W22" s="33">
        <v>13.29</v>
      </c>
      <c r="Y22" s="8" t="s">
        <v>49</v>
      </c>
      <c r="Z22" s="8">
        <f>VLOOKUP('Сдвиг щита НО'!I28,Лист2!Q4:T49,4,FALSE)</f>
        <v>5.15</v>
      </c>
    </row>
    <row r="23" spans="2:27" ht="15.75" thickBot="1" x14ac:dyDescent="0.3">
      <c r="B23" s="31"/>
      <c r="C23" s="31">
        <v>2.1999999999999999E-2</v>
      </c>
      <c r="D23" s="31">
        <v>2.9000000000000001E-2</v>
      </c>
      <c r="E23" s="31">
        <v>0.04</v>
      </c>
      <c r="F23" s="31">
        <v>5.0999999999999997E-2</v>
      </c>
      <c r="G23" s="31">
        <v>6.6000000000000003E-2</v>
      </c>
      <c r="H23" s="31">
        <v>8.4000000000000005E-2</v>
      </c>
      <c r="K23" s="44"/>
      <c r="L23" s="44"/>
      <c r="M23" s="44"/>
      <c r="N23" s="44"/>
      <c r="Q23" s="7">
        <v>19</v>
      </c>
      <c r="R23">
        <v>0.47</v>
      </c>
      <c r="S23">
        <v>2.89</v>
      </c>
      <c r="T23">
        <v>5.48</v>
      </c>
      <c r="U23" s="33">
        <v>2.58</v>
      </c>
      <c r="V23" s="33">
        <v>5.94</v>
      </c>
      <c r="W23" s="33">
        <v>14.06</v>
      </c>
      <c r="Y23" s="8" t="s">
        <v>50</v>
      </c>
      <c r="Z23" s="8">
        <f>MIN('Сдвиг щита НО'!I20,'Сдвиг щита НО'!I22)</f>
        <v>1.4</v>
      </c>
      <c r="AA23" s="8" t="s">
        <v>1</v>
      </c>
    </row>
    <row r="24" spans="2:27" ht="15.75" thickBot="1" x14ac:dyDescent="0.3">
      <c r="B24" s="31"/>
      <c r="C24" s="31">
        <v>2.1000000000000001E-2</v>
      </c>
      <c r="D24" s="31">
        <v>2.5999999999999999E-2</v>
      </c>
      <c r="E24" s="31">
        <v>3.6999999999999998E-2</v>
      </c>
      <c r="F24" s="31">
        <v>4.5999999999999999E-2</v>
      </c>
      <c r="G24" s="31">
        <v>0.06</v>
      </c>
      <c r="H24" s="31">
        <v>7.6999999999999999E-2</v>
      </c>
      <c r="K24" s="44"/>
      <c r="L24" s="44"/>
      <c r="M24" s="44"/>
      <c r="N24" s="44"/>
      <c r="Q24" s="7">
        <v>20</v>
      </c>
      <c r="R24">
        <v>0.51</v>
      </c>
      <c r="S24">
        <v>3.06</v>
      </c>
      <c r="T24">
        <v>5.66</v>
      </c>
      <c r="U24" s="44">
        <v>2.88</v>
      </c>
      <c r="V24" s="44">
        <v>6.4</v>
      </c>
      <c r="W24" s="44">
        <v>14.84</v>
      </c>
      <c r="Y24" s="33" t="s">
        <v>53</v>
      </c>
      <c r="Z24" s="8">
        <f>IF(Z23&lt;10,1,8/Z23+0.2)</f>
        <v>1</v>
      </c>
    </row>
    <row r="25" spans="2:27" ht="15.75" thickBot="1" x14ac:dyDescent="0.3">
      <c r="B25" s="31"/>
      <c r="C25" s="31">
        <v>1.9E-2</v>
      </c>
      <c r="D25" s="31">
        <v>2.4E-2</v>
      </c>
      <c r="E25" s="31">
        <v>3.3000000000000002E-2</v>
      </c>
      <c r="F25" s="31">
        <v>4.2000000000000003E-2</v>
      </c>
      <c r="G25" s="31">
        <v>5.5E-2</v>
      </c>
      <c r="H25" s="31">
        <v>7.0999999999999994E-2</v>
      </c>
      <c r="K25" s="44"/>
      <c r="L25" s="44"/>
      <c r="M25" s="44"/>
      <c r="N25" s="44"/>
      <c r="Q25" s="7">
        <v>21</v>
      </c>
      <c r="R25">
        <v>0.56000000000000005</v>
      </c>
      <c r="S25">
        <v>3.24</v>
      </c>
      <c r="T25">
        <v>5.84</v>
      </c>
      <c r="U25" s="33">
        <v>3.28</v>
      </c>
      <c r="V25" s="33">
        <v>7.25</v>
      </c>
      <c r="W25" s="33">
        <v>16</v>
      </c>
    </row>
    <row r="26" spans="2:27" ht="15.75" thickBot="1" x14ac:dyDescent="0.3">
      <c r="B26" s="31"/>
      <c r="C26" s="31">
        <v>1.7000000000000001E-2</v>
      </c>
      <c r="D26" s="31">
        <v>2.1999999999999999E-2</v>
      </c>
      <c r="E26" s="31">
        <v>3.1E-2</v>
      </c>
      <c r="F26" s="31">
        <v>3.9E-2</v>
      </c>
      <c r="G26" s="31">
        <v>5.0999999999999997E-2</v>
      </c>
      <c r="H26" s="31">
        <v>6.5000000000000002E-2</v>
      </c>
      <c r="K26" s="44"/>
      <c r="L26" s="44"/>
      <c r="M26" s="44"/>
      <c r="N26" s="44"/>
      <c r="Q26" s="7">
        <v>22</v>
      </c>
      <c r="R26">
        <v>0.61</v>
      </c>
      <c r="S26">
        <v>3.44</v>
      </c>
      <c r="T26">
        <v>6.04</v>
      </c>
      <c r="U26" s="33">
        <v>3.88</v>
      </c>
      <c r="V26" s="33">
        <v>8.1</v>
      </c>
      <c r="W26" s="33">
        <v>17.2</v>
      </c>
      <c r="Y26" s="8" t="s">
        <v>51</v>
      </c>
      <c r="Z26" s="8">
        <f>Z17*Z18/Z19*(Z20*Z24*Z23*'Сдвиг щита НО'!I32*10+Лист2!Z21*'Сдвиг щита НО'!I24*'Сдвиг щита НО'!I32*10+Лист2!Z22*'Сдвиг щита НО'!I30)</f>
        <v>166.14812499999999</v>
      </c>
      <c r="AA26" s="8" t="s">
        <v>6</v>
      </c>
    </row>
    <row r="27" spans="2:27" ht="15.75" thickBot="1" x14ac:dyDescent="0.3">
      <c r="B27" s="31"/>
      <c r="C27" s="31">
        <v>1.6E-2</v>
      </c>
      <c r="D27" s="31">
        <v>0.02</v>
      </c>
      <c r="E27" s="31">
        <v>2.8000000000000001E-2</v>
      </c>
      <c r="F27" s="31">
        <v>3.5999999999999997E-2</v>
      </c>
      <c r="G27" s="31">
        <v>4.7E-2</v>
      </c>
      <c r="H27" s="31">
        <v>0.06</v>
      </c>
      <c r="K27" s="44"/>
      <c r="L27" s="44"/>
      <c r="M27" s="44"/>
      <c r="N27" s="44"/>
      <c r="Q27" s="7">
        <v>23</v>
      </c>
      <c r="R27">
        <v>0.66</v>
      </c>
      <c r="S27">
        <v>3.65</v>
      </c>
      <c r="T27">
        <v>6.24</v>
      </c>
      <c r="U27" s="33">
        <v>4.4800000000000004</v>
      </c>
      <c r="V27" s="33">
        <v>8.9499999999999993</v>
      </c>
      <c r="W27" s="33">
        <v>18.350000000000001</v>
      </c>
    </row>
    <row r="28" spans="2:27" ht="15.75" thickBot="1" x14ac:dyDescent="0.3">
      <c r="B28" s="31"/>
      <c r="C28" s="31">
        <v>1.4999999999999999E-2</v>
      </c>
      <c r="D28" s="31">
        <v>1.9E-2</v>
      </c>
      <c r="E28" s="31">
        <v>2.5999999999999999E-2</v>
      </c>
      <c r="F28" s="31">
        <v>3.3000000000000002E-2</v>
      </c>
      <c r="G28" s="31">
        <v>4.2999999999999997E-2</v>
      </c>
      <c r="H28" s="31">
        <v>5.6000000000000001E-2</v>
      </c>
      <c r="K28" s="44"/>
      <c r="L28" s="44"/>
      <c r="M28" s="44"/>
      <c r="N28" s="44"/>
      <c r="Q28" s="7">
        <v>24</v>
      </c>
      <c r="R28">
        <v>0.72</v>
      </c>
      <c r="S28">
        <v>3.87</v>
      </c>
      <c r="T28">
        <v>6.45</v>
      </c>
      <c r="U28" s="33">
        <v>5.08</v>
      </c>
      <c r="V28" s="33">
        <v>9.8000000000000007</v>
      </c>
      <c r="W28" s="33">
        <v>19.5</v>
      </c>
    </row>
    <row r="29" spans="2:27" ht="15.75" thickBot="1" x14ac:dyDescent="0.3">
      <c r="B29" s="31"/>
      <c r="C29" s="31">
        <v>1.4E-2</v>
      </c>
      <c r="D29" s="31">
        <v>1.7000000000000001E-2</v>
      </c>
      <c r="E29" s="31">
        <v>2.4E-2</v>
      </c>
      <c r="F29" s="31">
        <v>3.1E-2</v>
      </c>
      <c r="G29" s="31">
        <v>0.04</v>
      </c>
      <c r="H29" s="31">
        <v>5.1999999999999998E-2</v>
      </c>
      <c r="K29" s="44"/>
      <c r="L29" s="44"/>
      <c r="M29" s="44"/>
      <c r="N29" s="44"/>
      <c r="Q29" s="7">
        <v>25</v>
      </c>
      <c r="R29">
        <v>0.78</v>
      </c>
      <c r="S29">
        <v>4.1100000000000003</v>
      </c>
      <c r="T29">
        <v>6.67</v>
      </c>
      <c r="U29" s="44">
        <v>5.87</v>
      </c>
      <c r="V29" s="44">
        <v>10.66</v>
      </c>
      <c r="W29" s="44">
        <v>20.72</v>
      </c>
    </row>
    <row r="30" spans="2:27" ht="15.75" thickBot="1" x14ac:dyDescent="0.3">
      <c r="B30" s="31"/>
      <c r="C30" s="31">
        <v>1.2999999999999999E-2</v>
      </c>
      <c r="D30" s="31">
        <v>1.6E-2</v>
      </c>
      <c r="E30" s="31">
        <v>2.1999999999999999E-2</v>
      </c>
      <c r="F30" s="31">
        <v>2.9000000000000001E-2</v>
      </c>
      <c r="G30" s="31">
        <v>3.6999999999999998E-2</v>
      </c>
      <c r="H30" s="31">
        <v>4.9000000000000002E-2</v>
      </c>
      <c r="K30" s="44"/>
      <c r="L30" s="44"/>
      <c r="M30" s="44"/>
      <c r="N30" s="44"/>
      <c r="Q30" s="7">
        <v>26</v>
      </c>
      <c r="R30">
        <v>0.84</v>
      </c>
      <c r="S30">
        <v>4.37</v>
      </c>
      <c r="T30">
        <v>6.9</v>
      </c>
      <c r="U30" s="33">
        <v>7.17</v>
      </c>
      <c r="V30" s="33">
        <v>12.2</v>
      </c>
      <c r="W30" s="33">
        <v>22.6</v>
      </c>
    </row>
    <row r="31" spans="2:27" ht="15.75" thickBot="1" x14ac:dyDescent="0.3">
      <c r="B31" s="31"/>
      <c r="C31" s="31">
        <v>1.2E-2</v>
      </c>
      <c r="D31" s="31">
        <v>1.4999999999999999E-2</v>
      </c>
      <c r="E31" s="31">
        <v>2.1000000000000001E-2</v>
      </c>
      <c r="F31" s="31">
        <v>2.7E-2</v>
      </c>
      <c r="G31" s="31">
        <v>3.5000000000000003E-2</v>
      </c>
      <c r="H31" s="31">
        <v>4.4999999999999998E-2</v>
      </c>
      <c r="Q31" s="7">
        <v>27</v>
      </c>
      <c r="R31">
        <v>0.91</v>
      </c>
      <c r="S31">
        <v>4.6399999999999997</v>
      </c>
      <c r="T31">
        <v>7.14</v>
      </c>
      <c r="U31" s="33">
        <v>8.5</v>
      </c>
      <c r="V31" s="33">
        <v>13.74</v>
      </c>
      <c r="W31" s="33">
        <v>24.5</v>
      </c>
    </row>
    <row r="32" spans="2:27" ht="15.75" thickBot="1" x14ac:dyDescent="0.3">
      <c r="B32" s="31"/>
      <c r="C32" s="31">
        <v>1.0999999999999999E-2</v>
      </c>
      <c r="D32" s="31">
        <v>1.4E-2</v>
      </c>
      <c r="E32" s="31">
        <v>0.02</v>
      </c>
      <c r="F32" s="31">
        <v>2.5000000000000001E-2</v>
      </c>
      <c r="G32" s="31">
        <v>3.3000000000000002E-2</v>
      </c>
      <c r="H32" s="31">
        <v>4.2000000000000003E-2</v>
      </c>
      <c r="Q32" s="7">
        <v>28</v>
      </c>
      <c r="R32">
        <v>0.98</v>
      </c>
      <c r="S32">
        <v>4.93</v>
      </c>
      <c r="T32">
        <v>7.4</v>
      </c>
      <c r="U32" s="33">
        <v>9.8000000000000007</v>
      </c>
      <c r="V32" s="33">
        <v>15.3</v>
      </c>
      <c r="W32" s="33">
        <v>26.36</v>
      </c>
    </row>
    <row r="33" spans="2:23" ht="15.75" thickBot="1" x14ac:dyDescent="0.3">
      <c r="B33" s="31"/>
      <c r="C33" s="31">
        <v>0.01</v>
      </c>
      <c r="D33" s="31">
        <v>1.2999999999999999E-2</v>
      </c>
      <c r="E33" s="31">
        <v>1.7999999999999999E-2</v>
      </c>
      <c r="F33" s="31">
        <v>2.3E-2</v>
      </c>
      <c r="G33" s="31">
        <v>3.1E-2</v>
      </c>
      <c r="H33" s="31">
        <v>0.04</v>
      </c>
      <c r="Q33" s="7">
        <v>29</v>
      </c>
      <c r="R33">
        <v>1.06</v>
      </c>
      <c r="S33">
        <v>5.25</v>
      </c>
      <c r="T33">
        <v>7.67</v>
      </c>
      <c r="U33" s="33">
        <v>11.1</v>
      </c>
      <c r="V33" s="33">
        <v>16.8</v>
      </c>
      <c r="W33" s="33">
        <v>28.24</v>
      </c>
    </row>
    <row r="34" spans="2:23" x14ac:dyDescent="0.25">
      <c r="B34"/>
      <c r="C34"/>
      <c r="D34"/>
      <c r="E34"/>
      <c r="F34"/>
      <c r="G34"/>
      <c r="H34"/>
      <c r="Q34" s="7">
        <v>30</v>
      </c>
      <c r="R34">
        <v>1.1499999999999999</v>
      </c>
      <c r="S34">
        <v>5.59</v>
      </c>
      <c r="T34">
        <v>7.95</v>
      </c>
      <c r="U34" s="44">
        <v>12.39</v>
      </c>
      <c r="V34" s="44">
        <v>18.399999999999999</v>
      </c>
      <c r="W34" s="44">
        <v>30.14</v>
      </c>
    </row>
    <row r="35" spans="2:23" x14ac:dyDescent="0.25">
      <c r="B35" t="s">
        <v>22</v>
      </c>
      <c r="C35">
        <f>SUM(C3:C33)</f>
        <v>5.1920000000000002</v>
      </c>
      <c r="D35">
        <f t="shared" ref="D35:H35" si="0">SUM(D3:D33)</f>
        <v>5.7199999999999989</v>
      </c>
      <c r="E35">
        <f t="shared" si="0"/>
        <v>6.5389999999999988</v>
      </c>
      <c r="F35">
        <f t="shared" si="0"/>
        <v>7.1380000000000008</v>
      </c>
      <c r="G35">
        <f t="shared" si="0"/>
        <v>7.791999999999998</v>
      </c>
      <c r="H35">
        <f t="shared" si="0"/>
        <v>8.389999999999997</v>
      </c>
      <c r="Q35" s="7">
        <v>31</v>
      </c>
      <c r="R35">
        <v>1.24</v>
      </c>
      <c r="S35">
        <v>5.95</v>
      </c>
      <c r="T35">
        <v>8.24</v>
      </c>
      <c r="U35" s="33">
        <v>14</v>
      </c>
      <c r="V35" s="33">
        <v>21.4</v>
      </c>
      <c r="W35" s="33">
        <v>33.299999999999997</v>
      </c>
    </row>
    <row r="36" spans="2:23" x14ac:dyDescent="0.25">
      <c r="Q36" s="7">
        <v>32</v>
      </c>
      <c r="R36">
        <v>1.34</v>
      </c>
      <c r="S36">
        <v>6.34</v>
      </c>
      <c r="T36">
        <v>8.5500000000000007</v>
      </c>
      <c r="U36" s="33">
        <v>16</v>
      </c>
      <c r="V36" s="33">
        <v>24.4</v>
      </c>
      <c r="W36" s="33">
        <v>36.5</v>
      </c>
    </row>
    <row r="37" spans="2:23" x14ac:dyDescent="0.25">
      <c r="Q37" s="7">
        <v>33</v>
      </c>
      <c r="R37">
        <v>1.44</v>
      </c>
      <c r="S37">
        <v>6.76</v>
      </c>
      <c r="T37">
        <v>8.8800000000000008</v>
      </c>
      <c r="U37" s="33">
        <v>20</v>
      </c>
      <c r="V37" s="33">
        <v>27.4</v>
      </c>
      <c r="W37" s="33">
        <v>39.700000000000003</v>
      </c>
    </row>
    <row r="38" spans="2:23" x14ac:dyDescent="0.25">
      <c r="Q38" s="7">
        <v>34</v>
      </c>
      <c r="R38">
        <v>1.55</v>
      </c>
      <c r="S38">
        <v>7.22</v>
      </c>
      <c r="T38">
        <v>9.2200000000000006</v>
      </c>
      <c r="U38" s="33">
        <v>24</v>
      </c>
      <c r="V38" s="33">
        <v>30.4</v>
      </c>
      <c r="W38" s="33">
        <v>42.9</v>
      </c>
    </row>
    <row r="39" spans="2:23" x14ac:dyDescent="0.25">
      <c r="B39" s="8" t="s">
        <v>62</v>
      </c>
      <c r="H39" s="8" t="s">
        <v>63</v>
      </c>
      <c r="Q39" s="7">
        <v>35</v>
      </c>
      <c r="R39">
        <v>1.68</v>
      </c>
      <c r="S39">
        <v>7.71</v>
      </c>
      <c r="T39">
        <v>9.58</v>
      </c>
      <c r="U39" s="44">
        <v>27.5</v>
      </c>
      <c r="V39" s="44">
        <v>33.299999999999997</v>
      </c>
      <c r="W39" s="44">
        <v>46.12</v>
      </c>
    </row>
    <row r="40" spans="2:23" x14ac:dyDescent="0.25">
      <c r="C40" s="8" t="s">
        <v>59</v>
      </c>
      <c r="E40" s="8">
        <f>MAX('Сдвиг щита НО'!I20,'Сдвиг щита НО'!I22)/MIN('Сдвиг щита НО'!I20,'Сдвиг щита НО'!I22)</f>
        <v>1.4285714285714286</v>
      </c>
      <c r="Q40" s="7">
        <v>36</v>
      </c>
      <c r="R40">
        <v>1.81</v>
      </c>
      <c r="S40">
        <v>8.24</v>
      </c>
      <c r="T40">
        <v>9.9700000000000006</v>
      </c>
      <c r="U40" s="33">
        <v>36</v>
      </c>
      <c r="V40" s="33">
        <v>39.5</v>
      </c>
      <c r="W40" s="33">
        <v>52</v>
      </c>
    </row>
    <row r="41" spans="2:23" x14ac:dyDescent="0.25">
      <c r="C41" s="8" t="s">
        <v>60</v>
      </c>
      <c r="E41" s="8">
        <f>-0.2284*E40^2+2.17*E40+3.2393</f>
        <v>5.8731775510204081</v>
      </c>
      <c r="H41" s="8" t="s">
        <v>64</v>
      </c>
      <c r="I41" s="8">
        <f>VLOOKUP('Сдвиг щита НО'!I28,Лист2!Q4:W49,5,FALSE)</f>
        <v>1.96</v>
      </c>
      <c r="K41" s="8" t="s">
        <v>67</v>
      </c>
      <c r="L41" s="8">
        <f>1-0.25/E40</f>
        <v>0.82499999999999996</v>
      </c>
      <c r="Q41" s="7">
        <v>37</v>
      </c>
      <c r="R41">
        <v>1.95</v>
      </c>
      <c r="S41">
        <v>8.81</v>
      </c>
      <c r="T41">
        <v>10.37</v>
      </c>
      <c r="U41" s="33">
        <v>44</v>
      </c>
      <c r="V41" s="33">
        <v>45.6</v>
      </c>
      <c r="W41" s="33">
        <v>57.8</v>
      </c>
    </row>
    <row r="42" spans="2:23" x14ac:dyDescent="0.25">
      <c r="C42" s="45" t="s">
        <v>61</v>
      </c>
      <c r="D42" s="45"/>
      <c r="E42" s="45">
        <f>0.8*(E41*'Сдвиг щита НО'!I47)*(0.4*Z23)/'Сдвиг щита НО'!I34/1000</f>
        <v>2.9757432925170066E-2</v>
      </c>
      <c r="F42" s="8" t="s">
        <v>1</v>
      </c>
      <c r="H42" s="8" t="s">
        <v>65</v>
      </c>
      <c r="I42" s="8">
        <f>VLOOKUP('Сдвиг щита НО'!I28,Лист2!Q4:W49,6,FALSE)</f>
        <v>4.9400000000000004</v>
      </c>
      <c r="K42" s="8" t="s">
        <v>68</v>
      </c>
      <c r="L42" s="8">
        <f>1+1.5/E40</f>
        <v>2.0499999999999998</v>
      </c>
      <c r="Q42" s="7">
        <v>38</v>
      </c>
      <c r="R42">
        <v>2.11</v>
      </c>
      <c r="S42">
        <v>9.44</v>
      </c>
      <c r="T42">
        <v>10.8</v>
      </c>
      <c r="U42" s="33">
        <v>52</v>
      </c>
      <c r="V42" s="33">
        <v>51.8</v>
      </c>
      <c r="W42" s="33">
        <v>63.6</v>
      </c>
    </row>
    <row r="43" spans="2:23" x14ac:dyDescent="0.25">
      <c r="H43" s="8" t="s">
        <v>66</v>
      </c>
      <c r="I43" s="8">
        <f>VLOOKUP('Сдвиг щита НО'!I28,Лист2!Q4:W49,7,FALSE)</f>
        <v>12.52</v>
      </c>
      <c r="K43" s="8" t="s">
        <v>69</v>
      </c>
      <c r="L43" s="8">
        <f>1+0.3/E40</f>
        <v>1.21</v>
      </c>
      <c r="Q43" s="7">
        <v>39</v>
      </c>
      <c r="R43">
        <v>2.2799999999999998</v>
      </c>
      <c r="S43">
        <v>10.11</v>
      </c>
      <c r="T43">
        <v>11.25</v>
      </c>
      <c r="U43" s="33">
        <v>60</v>
      </c>
      <c r="V43" s="33">
        <v>58</v>
      </c>
      <c r="W43" s="33">
        <v>69.5</v>
      </c>
    </row>
    <row r="44" spans="2:23" x14ac:dyDescent="0.25">
      <c r="Q44" s="7">
        <v>40</v>
      </c>
      <c r="R44">
        <v>2.46</v>
      </c>
      <c r="S44">
        <v>10.85</v>
      </c>
      <c r="T44">
        <v>11.73</v>
      </c>
      <c r="U44" s="44">
        <v>66.010000000000005</v>
      </c>
      <c r="V44" s="44">
        <v>64.19</v>
      </c>
      <c r="W44" s="44">
        <v>75.31</v>
      </c>
    </row>
    <row r="45" spans="2:23" x14ac:dyDescent="0.25">
      <c r="H45" s="33" t="s">
        <v>70</v>
      </c>
      <c r="I45" s="8">
        <f>'Сдвиг щита НО'!I20*'Сдвиг щита НО'!I22*(Лист2!I41*Лист2!L41*Лист2!Z23*'Сдвиг щита НО'!I32*10+Лист2!I42*Лист2!L42*'Сдвиг щита НО'!I32*10*'Сдвиг щита НО'!I24+Лист2!I43*Лист2!L43*'Сдвиг щита НО'!I30)</f>
        <v>1328.3103399999998</v>
      </c>
      <c r="J45" s="8" t="s">
        <v>71</v>
      </c>
      <c r="Q45" s="7">
        <v>41</v>
      </c>
      <c r="R45">
        <v>2.66</v>
      </c>
      <c r="S45">
        <v>11.64</v>
      </c>
      <c r="T45">
        <v>12.24</v>
      </c>
      <c r="U45" s="33">
        <v>86</v>
      </c>
      <c r="V45" s="33">
        <v>78</v>
      </c>
      <c r="W45" s="33">
        <v>87</v>
      </c>
    </row>
    <row r="46" spans="2:23" x14ac:dyDescent="0.25">
      <c r="Q46" s="7">
        <v>42</v>
      </c>
      <c r="R46">
        <v>2.88</v>
      </c>
      <c r="S46">
        <v>12.51</v>
      </c>
      <c r="T46">
        <v>12.79</v>
      </c>
      <c r="U46" s="33">
        <v>108</v>
      </c>
      <c r="V46" s="33">
        <v>93</v>
      </c>
      <c r="W46" s="33">
        <v>98.7</v>
      </c>
    </row>
    <row r="47" spans="2:23" x14ac:dyDescent="0.25">
      <c r="H47" s="33" t="s">
        <v>72</v>
      </c>
      <c r="I47" s="8">
        <f>I45/'Сдвиг щита НО'!I20/'Сдвиг щита НО'!I22</f>
        <v>474.39654999999993</v>
      </c>
      <c r="J47" s="8" t="s">
        <v>6</v>
      </c>
      <c r="Q47" s="7">
        <v>43</v>
      </c>
      <c r="R47">
        <v>3.12</v>
      </c>
      <c r="S47">
        <v>13.46</v>
      </c>
      <c r="T47">
        <v>13.37</v>
      </c>
      <c r="U47" s="33">
        <v>128</v>
      </c>
      <c r="V47" s="33">
        <v>107</v>
      </c>
      <c r="W47" s="33">
        <v>110.4</v>
      </c>
    </row>
    <row r="48" spans="2:23" x14ac:dyDescent="0.25">
      <c r="Q48" s="7">
        <v>44</v>
      </c>
      <c r="R48">
        <v>3.38</v>
      </c>
      <c r="S48">
        <v>14.5</v>
      </c>
      <c r="T48">
        <v>13.98</v>
      </c>
      <c r="U48" s="33">
        <v>150</v>
      </c>
      <c r="V48" s="33">
        <v>120</v>
      </c>
      <c r="W48" s="33">
        <v>122.1</v>
      </c>
    </row>
    <row r="49" spans="8:23" x14ac:dyDescent="0.25">
      <c r="H49" s="8" t="s">
        <v>78</v>
      </c>
      <c r="I49" s="8">
        <f>0.8*(E41*'Сдвиг щита НО'!I43)*(0.4*Z23)/'Сдвиг щита НО'!I34/1000</f>
        <v>3.6430517681380947E-2</v>
      </c>
      <c r="Q49" s="10">
        <v>45</v>
      </c>
      <c r="R49" s="11">
        <v>3.66</v>
      </c>
      <c r="S49" s="11">
        <v>15.64</v>
      </c>
      <c r="T49" s="11">
        <v>14.64</v>
      </c>
      <c r="U49" s="44">
        <v>177.61</v>
      </c>
      <c r="V49" s="44">
        <v>134.87</v>
      </c>
      <c r="W49" s="44">
        <v>133.87</v>
      </c>
    </row>
    <row r="50" spans="8:23" x14ac:dyDescent="0.25">
      <c r="H50" s="33" t="s">
        <v>79</v>
      </c>
      <c r="I50" s="8">
        <f>1+('Сдвиг щита НО'!I45-'Сдвиг щита НО'!I43)*('Сдвиг щита НО'!I47-'Сдвиг щита НО'!I43)/'Сдвиг щита НО'!I43/('Сдвиг щита НО'!I45-'Сдвиг щита НО'!I47)</f>
        <v>0.83328690663799643</v>
      </c>
    </row>
    <row r="52" spans="8:23" x14ac:dyDescent="0.25">
      <c r="H52" s="33" t="s">
        <v>61</v>
      </c>
      <c r="I52" s="8">
        <f>I49*I50</f>
        <v>3.0357073385938762E-2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Сдвиг щита НО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</dc:creator>
  <cp:lastModifiedBy>ING</cp:lastModifiedBy>
  <dcterms:created xsi:type="dcterms:W3CDTF">2023-10-10T13:51:14Z</dcterms:created>
  <dcterms:modified xsi:type="dcterms:W3CDTF">2023-12-26T12:48:15Z</dcterms:modified>
</cp:coreProperties>
</file>